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90" windowWidth="15180" windowHeight="10920"/>
  </bookViews>
  <sheets>
    <sheet name="Berechnung" sheetId="1" r:id="rId1"/>
    <sheet name="Propeller" sheetId="2" r:id="rId2"/>
    <sheet name="Motoren" sheetId="3" r:id="rId3"/>
  </sheets>
  <calcPr calcId="125725"/>
</workbook>
</file>

<file path=xl/calcChain.xml><?xml version="1.0" encoding="utf-8"?>
<calcChain xmlns="http://schemas.openxmlformats.org/spreadsheetml/2006/main">
  <c r="D32" i="1"/>
  <c r="D33" s="1"/>
  <c r="D34" s="1"/>
  <c r="D42" s="1"/>
  <c r="F42" s="1"/>
  <c r="D35"/>
  <c r="D36" s="1"/>
  <c r="D37" s="1"/>
  <c r="D38" s="1"/>
  <c r="D39"/>
  <c r="D40" s="1"/>
  <c r="D45"/>
  <c r="F45"/>
  <c r="D62"/>
  <c r="C2" i="3"/>
  <c r="D2"/>
  <c r="C3"/>
  <c r="D3"/>
  <c r="C4"/>
  <c r="D4"/>
  <c r="C5"/>
  <c r="D5"/>
  <c r="C6"/>
  <c r="D6"/>
  <c r="C7"/>
  <c r="D7"/>
  <c r="C8"/>
  <c r="D8"/>
  <c r="C9"/>
  <c r="D9"/>
  <c r="C10"/>
  <c r="D10"/>
  <c r="C11"/>
  <c r="D11"/>
  <c r="C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C26"/>
  <c r="D26"/>
  <c r="C27"/>
  <c r="D27"/>
  <c r="C28"/>
  <c r="D28"/>
  <c r="C29"/>
  <c r="C30"/>
  <c r="D30"/>
  <c r="D44" i="1" l="1"/>
  <c r="D63"/>
  <c r="D41"/>
  <c r="D64"/>
  <c r="D43"/>
  <c r="F64" l="1"/>
  <c r="D65"/>
  <c r="F65" s="1"/>
  <c r="D66"/>
  <c r="F66" s="1"/>
</calcChain>
</file>

<file path=xl/sharedStrings.xml><?xml version="1.0" encoding="utf-8"?>
<sst xmlns="http://schemas.openxmlformats.org/spreadsheetml/2006/main" count="212" uniqueCount="134">
  <si>
    <t>Modell</t>
  </si>
  <si>
    <t>Gewicht</t>
  </si>
  <si>
    <t>Einheit</t>
  </si>
  <si>
    <t>g</t>
  </si>
  <si>
    <t>Flächeninhalt</t>
  </si>
  <si>
    <t>dm²</t>
  </si>
  <si>
    <t>Motor</t>
  </si>
  <si>
    <t>Umdrehungen/(Minute*Volt)</t>
  </si>
  <si>
    <t>Innenwidertsand</t>
  </si>
  <si>
    <t>mOhm</t>
  </si>
  <si>
    <t>Wirkungsgrad</t>
  </si>
  <si>
    <t>%</t>
  </si>
  <si>
    <t>Akku</t>
  </si>
  <si>
    <t>Nennspannung</t>
  </si>
  <si>
    <t>V</t>
  </si>
  <si>
    <t>Innenwiderstand/Zelle</t>
  </si>
  <si>
    <t>Anzahl Zellen</t>
  </si>
  <si>
    <t>Berechnung:</t>
  </si>
  <si>
    <t>Flächenbelastung</t>
  </si>
  <si>
    <t>g/dm²</t>
  </si>
  <si>
    <t>Gleitfluggeschwindigkeit</t>
  </si>
  <si>
    <t>m/s</t>
  </si>
  <si>
    <t>Theoretische Strömungsgeschwindigkeit</t>
  </si>
  <si>
    <t>Drehzahl</t>
  </si>
  <si>
    <t>Strom (Arbeitspunkt)</t>
  </si>
  <si>
    <t>A</t>
  </si>
  <si>
    <t>Innenwiderstand Summe</t>
  </si>
  <si>
    <t>Spannungsverlust</t>
  </si>
  <si>
    <t>Volt</t>
  </si>
  <si>
    <t>Effektive Spannung</t>
  </si>
  <si>
    <t>Umdrehungen/Minute</t>
  </si>
  <si>
    <t>Elektrische Leistung</t>
  </si>
  <si>
    <t>Watt</t>
  </si>
  <si>
    <t>Mechanische Leistung</t>
  </si>
  <si>
    <t>N100</t>
  </si>
  <si>
    <t>Steigung</t>
  </si>
  <si>
    <t>cm</t>
  </si>
  <si>
    <t>Zoll</t>
  </si>
  <si>
    <t>APC</t>
  </si>
  <si>
    <t>Graupner Nylon</t>
  </si>
  <si>
    <t>Graupner CamProp</t>
  </si>
  <si>
    <t>APC Fun Fly</t>
  </si>
  <si>
    <t>Aeronaut CamProp</t>
  </si>
  <si>
    <t>apc</t>
  </si>
  <si>
    <t>CamCarbon</t>
  </si>
  <si>
    <t>GWS</t>
  </si>
  <si>
    <t>Hersteller</t>
  </si>
  <si>
    <t>Durchm. "</t>
  </si>
  <si>
    <t>Steigung "</t>
  </si>
  <si>
    <t>N100 upm</t>
  </si>
  <si>
    <t>Diese Angaben beruhen auf Meßwerten aus dem Internet</t>
  </si>
  <si>
    <t>Es kann keine Garantie übernommen werden.</t>
  </si>
  <si>
    <t>Gelbes Feld ergibt sich aus Flächenbelastung, kann aber entsprechend Profil und Modelleigenschaften</t>
  </si>
  <si>
    <t>Orange Felder sind Ergebnisse.</t>
  </si>
  <si>
    <t>© Günter Hildebrandt guenter22@arcor.de</t>
  </si>
  <si>
    <t>Getriebe</t>
  </si>
  <si>
    <t>Für den Arbeitspunkt (Stromaufnahme des Motors) ist der N100 Wert die entscheidende</t>
  </si>
  <si>
    <t>elektirsche Leistung/Gewicht</t>
  </si>
  <si>
    <t>Watt/kg</t>
  </si>
  <si>
    <t>Mechanische Leistung/Gewicht</t>
  </si>
  <si>
    <t>Größe. Die Steigung bestimmt den Geschwindigkeitsbereich in dem das Modell</t>
  </si>
  <si>
    <t>mit einer guten Leistungsübertragung im Kraftflug geflogen werden kann.</t>
  </si>
  <si>
    <t>Standschub</t>
  </si>
  <si>
    <t xml:space="preserve">Durchmesser </t>
  </si>
  <si>
    <t xml:space="preserve">Kreisfläche </t>
  </si>
  <si>
    <t>m²</t>
  </si>
  <si>
    <t>Kraftfluggeschwindigkeit min.</t>
  </si>
  <si>
    <t>Kraftfluggeschwindigkeit max.</t>
  </si>
  <si>
    <t>km/h</t>
  </si>
  <si>
    <t>Diese Werte gelten nur, wenn die Luftschraube den richtigen N100 Wert hat!</t>
  </si>
  <si>
    <t>z.B.:3xLiPo Etec</t>
  </si>
  <si>
    <t>z.B.: AXI2212/34</t>
  </si>
  <si>
    <t>Empfolene v:</t>
  </si>
  <si>
    <t>Kapazität</t>
  </si>
  <si>
    <t>mAh</t>
  </si>
  <si>
    <t>Motorlaufzeit</t>
  </si>
  <si>
    <t>Sekunden</t>
  </si>
  <si>
    <t>Minuten</t>
  </si>
  <si>
    <t>Alternative Einheit</t>
  </si>
  <si>
    <t>Wirkungsgrad der Luftschraube</t>
  </si>
  <si>
    <t>Wenn die Schraube nicht genau zum N100 Wert paßt, sollte der Strom des Motors</t>
  </si>
  <si>
    <t>Untersetzung                              1:</t>
  </si>
  <si>
    <t>Propeller- und Antriebsberechnung für Modellflugzeuge</t>
  </si>
  <si>
    <t>Alle Angaben ohne Gewähr.</t>
  </si>
  <si>
    <t>Bedienungsanleitung für diese Tabelle:</t>
  </si>
  <si>
    <t>Alle grünen Felder ausfüllen.</t>
  </si>
  <si>
    <t>angepaßt werden. Diese Geschwindigkeit hat nur Einfluß auf die Steigung der Schraube.</t>
  </si>
  <si>
    <t>Schraube mit N100 Wert und Steigung aus Tabelle 2 aussuchen.</t>
  </si>
  <si>
    <t>(Arbeitspunkt) so verändert werden, daß der N100 Wert gut Schraube paßt.</t>
  </si>
  <si>
    <t>Anmerkung:</t>
  </si>
  <si>
    <t>Es wurde hier ein Luftschraube mit einer größeren Steigung gewählt. Dadurch sollte das Modell</t>
  </si>
  <si>
    <t>im Kraftflug schneller geflogen werden, als im Gleitflug. Das Profiel erlaubt einen großen</t>
  </si>
  <si>
    <t>Geschwindigkeitsbereich und das Modell ist stabil genug gebaut.</t>
  </si>
  <si>
    <t>Typ</t>
  </si>
  <si>
    <t>RPM/V</t>
  </si>
  <si>
    <t>Ri in mOhm</t>
  </si>
  <si>
    <t>Wirkungsgrad in %</t>
  </si>
  <si>
    <t>Graupner</t>
  </si>
  <si>
    <t>Speed 280 6328</t>
  </si>
  <si>
    <t>Speed 280 3306</t>
  </si>
  <si>
    <t>Speed 400 3320</t>
  </si>
  <si>
    <t>Vnenn</t>
  </si>
  <si>
    <t>Speed 400 3321</t>
  </si>
  <si>
    <t>Speed 400 1794</t>
  </si>
  <si>
    <t>Speed 500 1799</t>
  </si>
  <si>
    <t>Speed 500 1789</t>
  </si>
  <si>
    <t>Speed 500 BB 3305</t>
  </si>
  <si>
    <t>Speed 500 6301</t>
  </si>
  <si>
    <t>Speed 500 3322</t>
  </si>
  <si>
    <t>Speed 500 BB 6303</t>
  </si>
  <si>
    <t xml:space="preserve">Speed 500 E 1788 </t>
  </si>
  <si>
    <t>Speed 600 ECO 3323</t>
  </si>
  <si>
    <t>Speed 600 1793</t>
  </si>
  <si>
    <t>Speed 600 BB 1787</t>
  </si>
  <si>
    <t>Speed 600 3301</t>
  </si>
  <si>
    <t>Speed 600 BB 3316</t>
  </si>
  <si>
    <t>Speed 600 1786</t>
  </si>
  <si>
    <t>Speed 600 BB 1780</t>
  </si>
  <si>
    <t>Speed 650 BB 6305</t>
  </si>
  <si>
    <t>Speed 360PT 1796</t>
  </si>
  <si>
    <t>Speed 600 BB 3302</t>
  </si>
  <si>
    <t>Speed 600 BB 6314</t>
  </si>
  <si>
    <t>Speed 700 BB 6316</t>
  </si>
  <si>
    <t>Speed 700 Turbo 3308</t>
  </si>
  <si>
    <t>Speed 700 BB 3307</t>
  </si>
  <si>
    <t>Speed 700 BB 6306</t>
  </si>
  <si>
    <t>Speed 700 BB 6317</t>
  </si>
  <si>
    <t>Speed 500 BB 3315</t>
  </si>
  <si>
    <t>AXI</t>
  </si>
  <si>
    <t>2212/34</t>
  </si>
  <si>
    <t>Ausgewählte Schraube hier Eintragen:</t>
  </si>
  <si>
    <t>Leerlaufdrehzahl RPM/V</t>
  </si>
  <si>
    <t>LRK</t>
  </si>
  <si>
    <t>35/20/12,4 14P</t>
  </si>
</sst>
</file>

<file path=xl/styles.xml><?xml version="1.0" encoding="utf-8"?>
<styleSheet xmlns="http://schemas.openxmlformats.org/spreadsheetml/2006/main">
  <numFmts count="1">
    <numFmt numFmtId="172" formatCode="0.0"/>
  </numFmts>
  <fonts count="2">
    <font>
      <sz val="10"/>
      <name val="Arial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2" borderId="0" xfId="0" applyFill="1"/>
    <xf numFmtId="2" fontId="0" fillId="3" borderId="0" xfId="0" applyNumberFormat="1" applyFill="1"/>
    <xf numFmtId="1" fontId="0" fillId="3" borderId="0" xfId="0" applyNumberFormat="1" applyFill="1"/>
    <xf numFmtId="2" fontId="0" fillId="4" borderId="0" xfId="0" applyNumberFormat="1" applyFill="1"/>
    <xf numFmtId="172" fontId="0" fillId="0" borderId="0" xfId="0" applyNumberFormat="1"/>
    <xf numFmtId="0" fontId="1" fillId="0" borderId="0" xfId="0" applyFont="1"/>
    <xf numFmtId="172" fontId="0" fillId="3" borderId="0" xfId="0" applyNumberFormat="1" applyFill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72"/>
  <sheetViews>
    <sheetView tabSelected="1" workbookViewId="0">
      <selection activeCell="C19" sqref="C19"/>
    </sheetView>
  </sheetViews>
  <sheetFormatPr baseColWidth="10" defaultRowHeight="12.75"/>
  <cols>
    <col min="2" max="2" width="17.28515625" customWidth="1"/>
    <col min="3" max="3" width="35.5703125" customWidth="1"/>
    <col min="4" max="4" width="8.5703125" customWidth="1"/>
  </cols>
  <sheetData>
    <row r="2" spans="2:7" ht="20.25">
      <c r="B2" s="8" t="s">
        <v>82</v>
      </c>
    </row>
    <row r="4" spans="2:7">
      <c r="B4" t="s">
        <v>54</v>
      </c>
    </row>
    <row r="5" spans="2:7">
      <c r="B5" t="s">
        <v>83</v>
      </c>
    </row>
    <row r="7" spans="2:7">
      <c r="B7" t="s">
        <v>84</v>
      </c>
    </row>
    <row r="8" spans="2:7">
      <c r="B8" t="s">
        <v>85</v>
      </c>
    </row>
    <row r="9" spans="2:7">
      <c r="B9" t="s">
        <v>52</v>
      </c>
    </row>
    <row r="10" spans="2:7">
      <c r="B10" t="s">
        <v>86</v>
      </c>
    </row>
    <row r="11" spans="2:7">
      <c r="B11" t="s">
        <v>53</v>
      </c>
    </row>
    <row r="14" spans="2:7">
      <c r="E14" t="s">
        <v>2</v>
      </c>
      <c r="G14" t="s">
        <v>78</v>
      </c>
    </row>
    <row r="15" spans="2:7">
      <c r="B15" t="s">
        <v>0</v>
      </c>
      <c r="C15" t="s">
        <v>1</v>
      </c>
      <c r="D15" s="3">
        <v>570</v>
      </c>
      <c r="E15" t="s">
        <v>3</v>
      </c>
    </row>
    <row r="16" spans="2:7">
      <c r="C16" t="s">
        <v>4</v>
      </c>
      <c r="D16" s="3">
        <v>29.5</v>
      </c>
      <c r="E16" t="s">
        <v>5</v>
      </c>
    </row>
    <row r="18" spans="2:5">
      <c r="B18" t="s">
        <v>6</v>
      </c>
      <c r="C18" t="s">
        <v>131</v>
      </c>
      <c r="D18" s="3">
        <v>740</v>
      </c>
      <c r="E18" t="s">
        <v>7</v>
      </c>
    </row>
    <row r="19" spans="2:5">
      <c r="B19" s="3" t="s">
        <v>71</v>
      </c>
      <c r="C19" t="s">
        <v>8</v>
      </c>
      <c r="D19" s="3">
        <v>345</v>
      </c>
      <c r="E19" t="s">
        <v>9</v>
      </c>
    </row>
    <row r="20" spans="2:5">
      <c r="C20" t="s">
        <v>10</v>
      </c>
      <c r="D20" s="3">
        <v>70</v>
      </c>
      <c r="E20" t="s">
        <v>11</v>
      </c>
    </row>
    <row r="21" spans="2:5">
      <c r="C21" t="s">
        <v>24</v>
      </c>
      <c r="D21" s="3">
        <v>9.9</v>
      </c>
      <c r="E21" t="s">
        <v>25</v>
      </c>
    </row>
    <row r="23" spans="2:5">
      <c r="B23" t="s">
        <v>12</v>
      </c>
      <c r="C23" t="s">
        <v>13</v>
      </c>
      <c r="D23" s="3">
        <v>11.1</v>
      </c>
      <c r="E23" t="s">
        <v>14</v>
      </c>
    </row>
    <row r="24" spans="2:5">
      <c r="B24" s="3" t="s">
        <v>70</v>
      </c>
      <c r="C24" t="s">
        <v>15</v>
      </c>
      <c r="D24" s="3">
        <v>36</v>
      </c>
      <c r="E24" t="s">
        <v>9</v>
      </c>
    </row>
    <row r="25" spans="2:5">
      <c r="C25" t="s">
        <v>16</v>
      </c>
      <c r="D25" s="3">
        <v>3</v>
      </c>
    </row>
    <row r="26" spans="2:5">
      <c r="C26" t="s">
        <v>73</v>
      </c>
      <c r="D26" s="3">
        <v>1200</v>
      </c>
      <c r="E26" t="s">
        <v>74</v>
      </c>
    </row>
    <row r="28" spans="2:5">
      <c r="B28" t="s">
        <v>55</v>
      </c>
      <c r="C28" t="s">
        <v>81</v>
      </c>
      <c r="D28" s="3">
        <v>1</v>
      </c>
    </row>
    <row r="29" spans="2:5">
      <c r="C29" t="s">
        <v>10</v>
      </c>
      <c r="D29" s="3">
        <v>100</v>
      </c>
      <c r="E29" t="s">
        <v>11</v>
      </c>
    </row>
    <row r="31" spans="2:5">
      <c r="C31" t="s">
        <v>17</v>
      </c>
    </row>
    <row r="32" spans="2:5">
      <c r="C32" t="s">
        <v>18</v>
      </c>
      <c r="D32" s="4">
        <f>D15/D16</f>
        <v>19.322033898305083</v>
      </c>
      <c r="E32" t="s">
        <v>19</v>
      </c>
    </row>
    <row r="33" spans="3:7">
      <c r="C33" t="s">
        <v>20</v>
      </c>
      <c r="D33" s="6">
        <f>SQRT(D32*0.981*1.63/0.8)</f>
        <v>6.2145506539498463</v>
      </c>
      <c r="E33" t="s">
        <v>21</v>
      </c>
    </row>
    <row r="34" spans="3:7">
      <c r="C34" t="s">
        <v>22</v>
      </c>
      <c r="D34" s="4">
        <f>D33*1.8</f>
        <v>11.186191177109723</v>
      </c>
      <c r="E34" t="s">
        <v>21</v>
      </c>
    </row>
    <row r="35" spans="3:7">
      <c r="C35" t="s">
        <v>26</v>
      </c>
      <c r="D35" s="4">
        <f>D25*D24+D19</f>
        <v>453</v>
      </c>
      <c r="E35" t="s">
        <v>9</v>
      </c>
    </row>
    <row r="36" spans="3:7">
      <c r="C36" t="s">
        <v>27</v>
      </c>
      <c r="D36" s="4">
        <f>D35*D21/1000</f>
        <v>4.4847000000000001</v>
      </c>
      <c r="E36" t="s">
        <v>28</v>
      </c>
    </row>
    <row r="37" spans="3:7">
      <c r="C37" t="s">
        <v>29</v>
      </c>
      <c r="D37" s="4">
        <f>D23-D36</f>
        <v>6.6152999999999995</v>
      </c>
      <c r="E37" t="s">
        <v>28</v>
      </c>
    </row>
    <row r="38" spans="3:7">
      <c r="C38" t="s">
        <v>23</v>
      </c>
      <c r="D38" s="5">
        <f>D37*D18/D28</f>
        <v>4895.3219999999992</v>
      </c>
      <c r="E38" t="s">
        <v>30</v>
      </c>
    </row>
    <row r="39" spans="3:7">
      <c r="C39" t="s">
        <v>31</v>
      </c>
      <c r="D39" s="4">
        <f>(D23-(D24*D25*D21/1000))*D21</f>
        <v>99.304919999999996</v>
      </c>
      <c r="E39" t="s">
        <v>32</v>
      </c>
    </row>
    <row r="40" spans="3:7">
      <c r="C40" t="s">
        <v>33</v>
      </c>
      <c r="D40" s="4">
        <f>D39*D20*D29/10000</f>
        <v>69.513443999999993</v>
      </c>
      <c r="E40" t="s">
        <v>32</v>
      </c>
    </row>
    <row r="41" spans="3:7">
      <c r="C41" t="s">
        <v>34</v>
      </c>
      <c r="D41" s="5">
        <f>D38*EXP(LN(100/D40)/3)</f>
        <v>5526.1795969188579</v>
      </c>
      <c r="E41" t="s">
        <v>30</v>
      </c>
    </row>
    <row r="42" spans="3:7">
      <c r="C42" t="s">
        <v>35</v>
      </c>
      <c r="D42" s="4">
        <f>D34*60*100/D38</f>
        <v>13.710466249749937</v>
      </c>
      <c r="E42" t="s">
        <v>36</v>
      </c>
      <c r="F42" s="4">
        <f>D42/2.54</f>
        <v>5.3978213581692662</v>
      </c>
      <c r="G42" t="s">
        <v>37</v>
      </c>
    </row>
    <row r="43" spans="3:7">
      <c r="C43" t="s">
        <v>57</v>
      </c>
      <c r="D43" s="4">
        <f>D39*1000/D15</f>
        <v>174.21915789473684</v>
      </c>
      <c r="E43" t="s">
        <v>58</v>
      </c>
    </row>
    <row r="44" spans="3:7">
      <c r="C44" t="s">
        <v>59</v>
      </c>
      <c r="D44" s="4">
        <f>D40*1000/D15</f>
        <v>121.95341052631576</v>
      </c>
      <c r="E44" t="s">
        <v>58</v>
      </c>
    </row>
    <row r="45" spans="3:7">
      <c r="C45" t="s">
        <v>75</v>
      </c>
      <c r="D45" s="5">
        <f>D26*3.6/D21</f>
        <v>436.36363636363637</v>
      </c>
      <c r="E45" t="s">
        <v>76</v>
      </c>
      <c r="F45" s="9">
        <f>D45/60</f>
        <v>7.2727272727272725</v>
      </c>
      <c r="G45" t="s">
        <v>77</v>
      </c>
    </row>
    <row r="49" spans="2:7">
      <c r="B49" t="s">
        <v>87</v>
      </c>
    </row>
    <row r="50" spans="2:7">
      <c r="B50" t="s">
        <v>56</v>
      </c>
    </row>
    <row r="51" spans="2:7">
      <c r="B51" t="s">
        <v>60</v>
      </c>
    </row>
    <row r="52" spans="2:7">
      <c r="B52" t="s">
        <v>61</v>
      </c>
    </row>
    <row r="53" spans="2:7">
      <c r="B53" t="s">
        <v>80</v>
      </c>
    </row>
    <row r="54" spans="2:7">
      <c r="B54" t="s">
        <v>88</v>
      </c>
    </row>
    <row r="57" spans="2:7">
      <c r="B57" t="s">
        <v>130</v>
      </c>
    </row>
    <row r="58" spans="2:7">
      <c r="C58" t="s">
        <v>63</v>
      </c>
      <c r="D58" s="3">
        <v>11.5</v>
      </c>
      <c r="E58" t="s">
        <v>37</v>
      </c>
    </row>
    <row r="59" spans="2:7">
      <c r="C59" t="s">
        <v>35</v>
      </c>
      <c r="D59" s="3">
        <v>8</v>
      </c>
      <c r="E59" t="s">
        <v>37</v>
      </c>
    </row>
    <row r="60" spans="2:7">
      <c r="C60" t="s">
        <v>79</v>
      </c>
      <c r="D60" s="3">
        <v>0.55000000000000004</v>
      </c>
    </row>
    <row r="61" spans="2:7">
      <c r="B61" t="s">
        <v>69</v>
      </c>
    </row>
    <row r="62" spans="2:7">
      <c r="C62" t="s">
        <v>64</v>
      </c>
      <c r="D62" s="4">
        <f>D58*D58*2.54*2.54*3.14/(4*10000)</f>
        <v>6.6978091850000004E-2</v>
      </c>
      <c r="E62" t="s">
        <v>65</v>
      </c>
    </row>
    <row r="63" spans="2:7">
      <c r="C63" t="s">
        <v>62</v>
      </c>
      <c r="D63" s="4">
        <f>98.1*EXP(LN(D60)*2/3)*EXP(LN(D40*D40*D62*1.225*2)/3)</f>
        <v>609.52233270130887</v>
      </c>
      <c r="E63" t="s">
        <v>3</v>
      </c>
    </row>
    <row r="64" spans="2:7">
      <c r="C64" t="s">
        <v>22</v>
      </c>
      <c r="D64" s="4">
        <f>(D59*2.54/100)*(D38/60)</f>
        <v>16.578823839999998</v>
      </c>
      <c r="E64" t="s">
        <v>21</v>
      </c>
      <c r="F64" s="4">
        <f>3.6*D64</f>
        <v>59.683765823999998</v>
      </c>
      <c r="G64" t="s">
        <v>68</v>
      </c>
    </row>
    <row r="65" spans="2:7">
      <c r="B65" t="s">
        <v>72</v>
      </c>
      <c r="C65" t="s">
        <v>66</v>
      </c>
      <c r="D65" s="4">
        <f>D64/2.4</f>
        <v>6.9078432666666663</v>
      </c>
      <c r="E65" t="s">
        <v>21</v>
      </c>
      <c r="F65" s="4">
        <f>D65*3.6</f>
        <v>24.868235759999997</v>
      </c>
      <c r="G65" t="s">
        <v>68</v>
      </c>
    </row>
    <row r="66" spans="2:7">
      <c r="C66" t="s">
        <v>67</v>
      </c>
      <c r="D66" s="4">
        <f>D64/1.5</f>
        <v>11.052549226666665</v>
      </c>
      <c r="E66" t="s">
        <v>21</v>
      </c>
      <c r="F66" s="4">
        <f>D66*3.6</f>
        <v>39.789177215999992</v>
      </c>
      <c r="G66" t="s">
        <v>68</v>
      </c>
    </row>
    <row r="69" spans="2:7">
      <c r="B69" t="s">
        <v>89</v>
      </c>
    </row>
    <row r="70" spans="2:7">
      <c r="B70" t="s">
        <v>90</v>
      </c>
    </row>
    <row r="71" spans="2:7">
      <c r="B71" t="s">
        <v>91</v>
      </c>
    </row>
    <row r="72" spans="2:7">
      <c r="B72" t="s">
        <v>92</v>
      </c>
    </row>
  </sheetData>
  <phoneticPr fontId="0" type="noConversion"/>
  <pageMargins left="0.78740157499999996" right="0.78740157499999996" top="0.984251969" bottom="0.984251969" header="0.4921259845" footer="0.492125984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J44"/>
  <sheetViews>
    <sheetView workbookViewId="0">
      <selection activeCell="A3" sqref="A3"/>
    </sheetView>
  </sheetViews>
  <sheetFormatPr baseColWidth="10" defaultRowHeight="12.75"/>
  <cols>
    <col min="1" max="1" width="21.7109375" customWidth="1"/>
  </cols>
  <sheetData>
    <row r="2" spans="1:9">
      <c r="A2" t="s">
        <v>50</v>
      </c>
      <c r="E2" s="7"/>
      <c r="G2" s="7"/>
      <c r="H2" s="1"/>
      <c r="I2" s="7"/>
    </row>
    <row r="3" spans="1:9">
      <c r="A3" t="s">
        <v>51</v>
      </c>
      <c r="E3" s="7"/>
      <c r="G3" s="7"/>
      <c r="H3" s="1"/>
      <c r="I3" s="7"/>
    </row>
    <row r="4" spans="1:9">
      <c r="E4" s="7"/>
      <c r="G4" s="7"/>
      <c r="H4" s="1"/>
      <c r="I4" s="7"/>
    </row>
    <row r="5" spans="1:9">
      <c r="E5" s="7"/>
      <c r="G5" s="7"/>
      <c r="H5" s="1"/>
      <c r="I5" s="7"/>
    </row>
    <row r="6" spans="1:9">
      <c r="A6" t="s">
        <v>46</v>
      </c>
      <c r="B6" t="s">
        <v>47</v>
      </c>
      <c r="C6" t="s">
        <v>48</v>
      </c>
      <c r="D6" t="s">
        <v>49</v>
      </c>
      <c r="E6" s="7"/>
      <c r="G6" s="7"/>
      <c r="H6" s="1"/>
      <c r="I6" s="7"/>
    </row>
    <row r="7" spans="1:9">
      <c r="A7" t="s">
        <v>38</v>
      </c>
      <c r="B7">
        <v>5.5</v>
      </c>
      <c r="C7">
        <v>4.5</v>
      </c>
      <c r="D7" s="2">
        <v>15816.911539713094</v>
      </c>
      <c r="E7" s="7"/>
      <c r="G7" s="7"/>
      <c r="H7" s="1"/>
      <c r="I7" s="7"/>
    </row>
    <row r="8" spans="1:9">
      <c r="A8" t="s">
        <v>39</v>
      </c>
      <c r="B8">
        <v>8</v>
      </c>
      <c r="C8">
        <v>4</v>
      </c>
      <c r="D8" s="2">
        <v>11145.679147733896</v>
      </c>
      <c r="E8" s="7"/>
      <c r="G8" s="7"/>
      <c r="H8" s="1"/>
      <c r="I8" s="7"/>
    </row>
    <row r="9" spans="1:9">
      <c r="A9" t="s">
        <v>39</v>
      </c>
      <c r="B9">
        <v>8</v>
      </c>
      <c r="C9">
        <v>5</v>
      </c>
      <c r="D9" s="2">
        <v>10464.236483917053</v>
      </c>
      <c r="E9" s="7"/>
      <c r="G9" s="7"/>
      <c r="H9" s="1"/>
      <c r="I9" s="7"/>
    </row>
    <row r="10" spans="1:9">
      <c r="A10" t="s">
        <v>39</v>
      </c>
      <c r="B10">
        <v>8</v>
      </c>
      <c r="C10">
        <v>6</v>
      </c>
      <c r="D10" s="2">
        <v>9589.3692370995141</v>
      </c>
      <c r="E10" s="7"/>
      <c r="G10" s="7"/>
      <c r="H10" s="1"/>
      <c r="I10" s="7"/>
    </row>
    <row r="11" spans="1:9">
      <c r="A11" t="s">
        <v>39</v>
      </c>
      <c r="B11">
        <v>9</v>
      </c>
      <c r="C11">
        <v>4</v>
      </c>
      <c r="D11" s="2">
        <v>9647.1379150994235</v>
      </c>
      <c r="E11" s="7"/>
      <c r="G11" s="7"/>
      <c r="H11" s="1"/>
      <c r="I11" s="7"/>
    </row>
    <row r="12" spans="1:9">
      <c r="A12" t="s">
        <v>39</v>
      </c>
      <c r="B12">
        <v>9</v>
      </c>
      <c r="C12">
        <v>5</v>
      </c>
      <c r="D12" s="2">
        <v>9073.2751295296148</v>
      </c>
      <c r="E12" s="7"/>
      <c r="G12" s="7"/>
      <c r="H12" s="1"/>
      <c r="I12" s="7"/>
    </row>
    <row r="13" spans="1:9">
      <c r="A13" t="s">
        <v>39</v>
      </c>
      <c r="B13">
        <v>9</v>
      </c>
      <c r="C13">
        <v>6</v>
      </c>
      <c r="D13" s="2">
        <v>8268.4127853472983</v>
      </c>
      <c r="E13" s="7"/>
      <c r="G13" s="7"/>
      <c r="H13" s="1"/>
      <c r="I13" s="7"/>
    </row>
    <row r="14" spans="1:9">
      <c r="A14" t="s">
        <v>40</v>
      </c>
      <c r="B14">
        <v>10</v>
      </c>
      <c r="C14">
        <v>6</v>
      </c>
      <c r="D14" s="2">
        <v>7730.3762871088793</v>
      </c>
      <c r="E14" s="7"/>
      <c r="G14" s="7"/>
      <c r="H14" s="1"/>
      <c r="I14" s="7"/>
    </row>
    <row r="15" spans="1:9">
      <c r="A15" t="s">
        <v>39</v>
      </c>
      <c r="B15">
        <v>11</v>
      </c>
      <c r="C15">
        <v>6</v>
      </c>
      <c r="D15" s="2">
        <v>6970.4602683931016</v>
      </c>
      <c r="E15" s="7"/>
      <c r="G15" s="7"/>
      <c r="H15" s="1"/>
      <c r="I15" s="7"/>
    </row>
    <row r="16" spans="1:9">
      <c r="A16" t="s">
        <v>39</v>
      </c>
      <c r="B16">
        <v>11</v>
      </c>
      <c r="C16">
        <v>7</v>
      </c>
      <c r="D16" s="2">
        <v>6417.8627667692463</v>
      </c>
      <c r="E16" s="7"/>
      <c r="G16" s="7"/>
      <c r="H16" s="1"/>
      <c r="I16" s="7"/>
    </row>
    <row r="17" spans="1:9">
      <c r="A17" t="s">
        <v>39</v>
      </c>
      <c r="B17">
        <v>10</v>
      </c>
      <c r="C17">
        <v>5</v>
      </c>
      <c r="D17" s="2">
        <v>8249.3706234717974</v>
      </c>
      <c r="E17" s="7"/>
      <c r="G17" s="7"/>
      <c r="H17" s="1"/>
      <c r="I17" s="7"/>
    </row>
    <row r="18" spans="1:9">
      <c r="A18" t="s">
        <v>41</v>
      </c>
      <c r="B18">
        <v>13</v>
      </c>
      <c r="C18">
        <v>4</v>
      </c>
      <c r="D18" s="2">
        <v>5789.9036228823079</v>
      </c>
      <c r="E18" s="7"/>
      <c r="G18" s="7"/>
      <c r="H18" s="1"/>
      <c r="I18" s="7"/>
    </row>
    <row r="19" spans="1:9">
      <c r="A19" t="s">
        <v>41</v>
      </c>
      <c r="B19">
        <v>14</v>
      </c>
      <c r="C19">
        <v>4</v>
      </c>
      <c r="D19" s="2">
        <v>5202.3939253936232</v>
      </c>
      <c r="E19" s="7"/>
      <c r="G19" s="7"/>
      <c r="H19" s="1"/>
      <c r="I19" s="7"/>
    </row>
    <row r="20" spans="1:9">
      <c r="A20" t="s">
        <v>42</v>
      </c>
      <c r="B20">
        <v>12</v>
      </c>
      <c r="C20">
        <v>9</v>
      </c>
      <c r="D20" s="2">
        <v>5191.0703304329109</v>
      </c>
      <c r="E20" s="7"/>
      <c r="G20" s="7"/>
      <c r="H20" s="1"/>
      <c r="I20" s="7"/>
    </row>
    <row r="21" spans="1:9">
      <c r="A21" t="s">
        <v>42</v>
      </c>
      <c r="B21">
        <v>13</v>
      </c>
      <c r="C21">
        <v>11</v>
      </c>
      <c r="D21" s="2">
        <v>4412.4993802218723</v>
      </c>
      <c r="E21" s="7"/>
      <c r="G21" s="7"/>
      <c r="H21" s="1"/>
      <c r="I21" s="7"/>
    </row>
    <row r="22" spans="1:9">
      <c r="A22" t="s">
        <v>43</v>
      </c>
      <c r="B22">
        <v>9</v>
      </c>
      <c r="C22">
        <v>5</v>
      </c>
      <c r="D22" s="2">
        <v>8135.3652386851636</v>
      </c>
      <c r="E22" s="7"/>
      <c r="G22" s="7"/>
      <c r="H22" s="1"/>
      <c r="I22" s="7"/>
    </row>
    <row r="23" spans="1:9">
      <c r="A23" t="s">
        <v>44</v>
      </c>
      <c r="B23">
        <v>9</v>
      </c>
      <c r="C23">
        <v>5</v>
      </c>
      <c r="D23" s="2">
        <v>9082.7701402312341</v>
      </c>
      <c r="E23" s="7"/>
      <c r="G23" s="7"/>
      <c r="H23" s="1"/>
      <c r="I23" s="7"/>
    </row>
    <row r="24" spans="1:9">
      <c r="A24" t="s">
        <v>44</v>
      </c>
      <c r="B24">
        <v>9.5</v>
      </c>
      <c r="C24">
        <v>5</v>
      </c>
      <c r="D24" s="2">
        <v>7997</v>
      </c>
      <c r="E24" s="7"/>
      <c r="G24" s="7"/>
      <c r="H24" s="1"/>
      <c r="I24" s="7"/>
    </row>
    <row r="25" spans="1:9">
      <c r="A25" t="s">
        <v>44</v>
      </c>
      <c r="B25">
        <v>10</v>
      </c>
      <c r="C25">
        <v>6</v>
      </c>
      <c r="D25" s="2">
        <v>7137</v>
      </c>
      <c r="E25" s="7"/>
      <c r="G25" s="7"/>
      <c r="H25" s="1"/>
      <c r="I25" s="7"/>
    </row>
    <row r="26" spans="1:9">
      <c r="A26" t="s">
        <v>44</v>
      </c>
      <c r="B26">
        <v>10</v>
      </c>
      <c r="C26">
        <v>8</v>
      </c>
      <c r="D26" s="2">
        <v>6476</v>
      </c>
      <c r="E26" s="7"/>
      <c r="G26" s="7"/>
      <c r="H26" s="1"/>
      <c r="I26" s="7"/>
    </row>
    <row r="27" spans="1:9">
      <c r="A27" t="s">
        <v>44</v>
      </c>
      <c r="B27">
        <v>11</v>
      </c>
      <c r="C27">
        <v>7</v>
      </c>
      <c r="D27" s="2">
        <v>6287</v>
      </c>
      <c r="E27" s="7"/>
      <c r="G27" s="7"/>
      <c r="H27" s="1"/>
      <c r="I27" s="7"/>
    </row>
    <row r="28" spans="1:9">
      <c r="A28" t="s">
        <v>44</v>
      </c>
      <c r="B28">
        <v>11</v>
      </c>
      <c r="C28">
        <v>8</v>
      </c>
      <c r="D28" s="2">
        <v>5800</v>
      </c>
      <c r="E28" s="7"/>
      <c r="G28" s="7"/>
      <c r="H28" s="1"/>
      <c r="I28" s="7"/>
    </row>
    <row r="29" spans="1:9">
      <c r="A29" t="s">
        <v>44</v>
      </c>
      <c r="B29">
        <v>12</v>
      </c>
      <c r="C29">
        <v>8</v>
      </c>
      <c r="D29" s="2">
        <v>5294</v>
      </c>
      <c r="E29" s="7"/>
      <c r="G29" s="7"/>
      <c r="H29" s="1"/>
      <c r="I29" s="7"/>
    </row>
    <row r="30" spans="1:9">
      <c r="A30" t="s">
        <v>44</v>
      </c>
      <c r="B30">
        <v>12</v>
      </c>
      <c r="C30">
        <v>9</v>
      </c>
      <c r="D30" s="2">
        <v>5030</v>
      </c>
      <c r="E30" s="7"/>
      <c r="G30" s="7"/>
      <c r="H30" s="1"/>
      <c r="I30" s="7"/>
    </row>
    <row r="31" spans="1:9">
      <c r="A31" t="s">
        <v>44</v>
      </c>
      <c r="B31">
        <v>14</v>
      </c>
      <c r="C31">
        <v>8</v>
      </c>
      <c r="D31" s="2">
        <v>4262</v>
      </c>
      <c r="E31" s="7"/>
      <c r="G31" s="7"/>
      <c r="H31" s="1"/>
      <c r="I31" s="7"/>
    </row>
    <row r="32" spans="1:9">
      <c r="A32" t="s">
        <v>44</v>
      </c>
      <c r="B32">
        <v>14</v>
      </c>
      <c r="C32">
        <v>9</v>
      </c>
      <c r="D32" s="2">
        <v>4078</v>
      </c>
      <c r="E32" s="7"/>
      <c r="G32" s="7"/>
      <c r="H32" s="1"/>
      <c r="I32" s="7"/>
    </row>
    <row r="33" spans="1:10">
      <c r="A33" t="s">
        <v>44</v>
      </c>
      <c r="B33">
        <v>16</v>
      </c>
      <c r="C33">
        <v>10</v>
      </c>
      <c r="D33" s="2">
        <v>3353</v>
      </c>
      <c r="E33" s="7"/>
      <c r="G33" s="7"/>
      <c r="H33" s="1"/>
      <c r="I33" s="7"/>
    </row>
    <row r="34" spans="1:10">
      <c r="A34" t="s">
        <v>44</v>
      </c>
      <c r="B34">
        <v>17</v>
      </c>
      <c r="C34">
        <v>11</v>
      </c>
      <c r="D34" s="2">
        <v>3018</v>
      </c>
      <c r="E34" s="7"/>
      <c r="G34" s="7"/>
      <c r="H34" s="1"/>
      <c r="I34" s="7"/>
    </row>
    <row r="35" spans="1:10">
      <c r="A35" t="s">
        <v>45</v>
      </c>
      <c r="B35">
        <v>7</v>
      </c>
      <c r="C35">
        <v>6</v>
      </c>
      <c r="D35" s="2">
        <v>10515.35731398753</v>
      </c>
      <c r="E35" s="7"/>
      <c r="G35" s="7"/>
      <c r="H35" s="1"/>
      <c r="I35" s="7"/>
    </row>
    <row r="36" spans="1:10">
      <c r="A36" t="s">
        <v>45</v>
      </c>
      <c r="B36">
        <v>8</v>
      </c>
      <c r="C36">
        <v>4.3</v>
      </c>
      <c r="D36" s="2">
        <v>10399.156008723508</v>
      </c>
      <c r="E36" s="7"/>
      <c r="G36" s="7"/>
      <c r="H36" s="1"/>
      <c r="I36" s="7"/>
    </row>
    <row r="37" spans="1:10">
      <c r="A37" t="s">
        <v>45</v>
      </c>
      <c r="B37">
        <v>8</v>
      </c>
      <c r="C37">
        <v>6</v>
      </c>
      <c r="D37" s="2">
        <v>9226.5715179435501</v>
      </c>
      <c r="E37" s="7"/>
      <c r="G37" s="7"/>
      <c r="H37" s="1"/>
      <c r="I37" s="7"/>
    </row>
    <row r="38" spans="1:10">
      <c r="A38" t="s">
        <v>45</v>
      </c>
      <c r="B38">
        <v>9</v>
      </c>
      <c r="C38">
        <v>4.7</v>
      </c>
      <c r="D38" s="2">
        <v>8611.7326374133736</v>
      </c>
      <c r="E38" s="7"/>
      <c r="G38" s="7"/>
      <c r="H38" s="1"/>
      <c r="I38" s="7"/>
    </row>
    <row r="39" spans="1:10">
      <c r="A39" t="s">
        <v>45</v>
      </c>
      <c r="B39">
        <v>9</v>
      </c>
      <c r="C39">
        <v>7</v>
      </c>
      <c r="D39" s="2">
        <v>7235.4468511936675</v>
      </c>
      <c r="E39" s="7"/>
      <c r="G39" s="7"/>
      <c r="H39" s="1"/>
      <c r="I39" s="7"/>
    </row>
    <row r="40" spans="1:10">
      <c r="A40" t="s">
        <v>45</v>
      </c>
      <c r="B40">
        <v>10</v>
      </c>
      <c r="C40">
        <v>4.7</v>
      </c>
      <c r="D40" s="2">
        <v>6786.0440414872674</v>
      </c>
      <c r="E40" s="7"/>
      <c r="G40" s="7"/>
      <c r="H40" s="1"/>
      <c r="I40" s="7"/>
      <c r="J40" s="2"/>
    </row>
    <row r="41" spans="1:10">
      <c r="A41" t="s">
        <v>45</v>
      </c>
      <c r="B41">
        <v>10</v>
      </c>
      <c r="C41">
        <v>8</v>
      </c>
      <c r="D41" s="2">
        <v>6240.2514691557117</v>
      </c>
      <c r="E41" s="7"/>
      <c r="G41" s="7"/>
      <c r="H41" s="1"/>
      <c r="I41" s="7"/>
      <c r="J41" s="2"/>
    </row>
    <row r="42" spans="1:10">
      <c r="A42" t="s">
        <v>45</v>
      </c>
      <c r="B42">
        <v>11</v>
      </c>
      <c r="C42">
        <v>4.7</v>
      </c>
      <c r="D42" s="2">
        <v>6240.2514691557117</v>
      </c>
    </row>
    <row r="43" spans="1:10">
      <c r="A43" t="s">
        <v>45</v>
      </c>
      <c r="B43">
        <v>12</v>
      </c>
      <c r="C43">
        <v>6</v>
      </c>
      <c r="D43" s="2">
        <v>5064.8127958355672</v>
      </c>
    </row>
    <row r="44" spans="1:10">
      <c r="A44" t="s">
        <v>45</v>
      </c>
      <c r="B44">
        <v>12</v>
      </c>
      <c r="C44">
        <v>8</v>
      </c>
      <c r="D44" s="2">
        <v>4630.184392489562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6"/>
  <sheetViews>
    <sheetView workbookViewId="0">
      <selection activeCell="F34" sqref="F34"/>
    </sheetView>
  </sheetViews>
  <sheetFormatPr baseColWidth="10" defaultRowHeight="12.75"/>
  <cols>
    <col min="2" max="2" width="20.140625" customWidth="1"/>
    <col min="5" max="5" width="16.42578125" customWidth="1"/>
  </cols>
  <sheetData>
    <row r="1" spans="1:6">
      <c r="A1" t="s">
        <v>46</v>
      </c>
      <c r="B1" t="s">
        <v>93</v>
      </c>
      <c r="C1" t="s">
        <v>94</v>
      </c>
      <c r="D1" t="s">
        <v>95</v>
      </c>
      <c r="E1" t="s">
        <v>96</v>
      </c>
      <c r="F1" t="s">
        <v>101</v>
      </c>
    </row>
    <row r="2" spans="1:6">
      <c r="A2" t="s">
        <v>97</v>
      </c>
      <c r="B2" t="s">
        <v>98</v>
      </c>
      <c r="C2" s="2">
        <f>14000/6</f>
        <v>2333.3333333333335</v>
      </c>
      <c r="D2" s="2">
        <f>6000/6.8</f>
        <v>882.35294117647061</v>
      </c>
      <c r="E2" s="2">
        <v>58</v>
      </c>
      <c r="F2">
        <v>6</v>
      </c>
    </row>
    <row r="3" spans="1:6">
      <c r="A3" t="s">
        <v>97</v>
      </c>
      <c r="B3" t="s">
        <v>99</v>
      </c>
      <c r="C3" s="2">
        <f>29000/6</f>
        <v>4833.333333333333</v>
      </c>
      <c r="D3" s="2">
        <f>6000/28</f>
        <v>214.28571428571428</v>
      </c>
      <c r="E3" s="2">
        <v>65</v>
      </c>
      <c r="F3">
        <v>6</v>
      </c>
    </row>
    <row r="4" spans="1:6">
      <c r="A4" t="s">
        <v>97</v>
      </c>
      <c r="B4" t="s">
        <v>100</v>
      </c>
      <c r="C4" s="2">
        <f>22000/4.8</f>
        <v>4583.3333333333339</v>
      </c>
      <c r="D4" s="2">
        <f>4800/40</f>
        <v>120</v>
      </c>
      <c r="E4" s="2">
        <v>66</v>
      </c>
      <c r="F4">
        <v>4.8</v>
      </c>
    </row>
    <row r="5" spans="1:6">
      <c r="A5" t="s">
        <v>97</v>
      </c>
      <c r="B5" t="s">
        <v>102</v>
      </c>
      <c r="C5" s="2">
        <f>18000/6</f>
        <v>3000</v>
      </c>
      <c r="D5" s="2">
        <f>6000/25</f>
        <v>240</v>
      </c>
      <c r="E5" s="2">
        <v>70</v>
      </c>
      <c r="F5">
        <v>6</v>
      </c>
    </row>
    <row r="6" spans="1:6">
      <c r="A6" t="s">
        <v>97</v>
      </c>
      <c r="B6" t="s">
        <v>103</v>
      </c>
      <c r="C6" s="2">
        <f>16400/7.2</f>
        <v>2277.7777777777778</v>
      </c>
      <c r="D6" s="2">
        <f>7200/21</f>
        <v>342.85714285714283</v>
      </c>
      <c r="E6" s="2">
        <v>72</v>
      </c>
      <c r="F6">
        <v>7.2</v>
      </c>
    </row>
    <row r="7" spans="1:6">
      <c r="A7" t="s">
        <v>97</v>
      </c>
      <c r="B7" t="s">
        <v>104</v>
      </c>
      <c r="C7" s="2">
        <f>17600/7.2</f>
        <v>2444.4444444444443</v>
      </c>
      <c r="D7" s="2">
        <f>7200/59</f>
        <v>122.03389830508475</v>
      </c>
      <c r="E7" s="2">
        <v>66</v>
      </c>
      <c r="F7">
        <v>7.2</v>
      </c>
    </row>
    <row r="8" spans="1:6">
      <c r="A8" t="s">
        <v>97</v>
      </c>
      <c r="B8" t="s">
        <v>105</v>
      </c>
      <c r="C8" s="2">
        <f>21200/7.2</f>
        <v>2944.4444444444443</v>
      </c>
      <c r="D8" s="2">
        <f>7200/96</f>
        <v>75</v>
      </c>
      <c r="E8" s="2">
        <v>76</v>
      </c>
      <c r="F8">
        <v>7.2</v>
      </c>
    </row>
    <row r="9" spans="1:6">
      <c r="A9" t="s">
        <v>97</v>
      </c>
      <c r="B9" t="s">
        <v>106</v>
      </c>
      <c r="C9" s="2">
        <f>24500/7.2</f>
        <v>3402.7777777777778</v>
      </c>
      <c r="D9" s="2">
        <f>7200/112</f>
        <v>64.285714285714292</v>
      </c>
      <c r="E9" s="2">
        <v>82</v>
      </c>
      <c r="F9">
        <v>7.2</v>
      </c>
    </row>
    <row r="10" spans="1:6">
      <c r="A10" t="s">
        <v>97</v>
      </c>
      <c r="B10" t="s">
        <v>107</v>
      </c>
      <c r="C10" s="2">
        <f>34000/7.2</f>
        <v>4722.2222222222217</v>
      </c>
      <c r="D10" s="2">
        <f>7200/190</f>
        <v>37.89473684210526</v>
      </c>
      <c r="E10" s="2">
        <v>78</v>
      </c>
      <c r="F10">
        <v>7.2</v>
      </c>
    </row>
    <row r="11" spans="1:6">
      <c r="A11" t="s">
        <v>97</v>
      </c>
      <c r="B11" t="s">
        <v>108</v>
      </c>
      <c r="C11" s="2">
        <f>17000/8.4</f>
        <v>2023.8095238095236</v>
      </c>
      <c r="D11" s="2">
        <f>8400/57</f>
        <v>147.36842105263159</v>
      </c>
      <c r="E11" s="2">
        <v>69</v>
      </c>
      <c r="F11">
        <v>8.4</v>
      </c>
    </row>
    <row r="12" spans="1:6">
      <c r="A12" t="s">
        <v>97</v>
      </c>
      <c r="B12" t="s">
        <v>109</v>
      </c>
      <c r="C12" s="2">
        <f>20000/8.4</f>
        <v>2380.9523809523807</v>
      </c>
      <c r="D12" s="2">
        <v>56.756756756756758</v>
      </c>
      <c r="E12" s="2">
        <v>72</v>
      </c>
      <c r="F12">
        <v>8.4</v>
      </c>
    </row>
    <row r="13" spans="1:6">
      <c r="A13" t="s">
        <v>97</v>
      </c>
      <c r="B13" t="s">
        <v>110</v>
      </c>
      <c r="C13" s="2">
        <f>12000/12</f>
        <v>1000</v>
      </c>
      <c r="D13" s="2">
        <f>12000/10</f>
        <v>1200</v>
      </c>
      <c r="E13" s="2">
        <v>67</v>
      </c>
      <c r="F13">
        <v>12</v>
      </c>
    </row>
    <row r="14" spans="1:6">
      <c r="A14" t="s">
        <v>97</v>
      </c>
      <c r="B14" t="s">
        <v>111</v>
      </c>
      <c r="C14" s="2">
        <f>11000/7.2</f>
        <v>1527.7777777777778</v>
      </c>
      <c r="D14" s="2">
        <f>7200/50</f>
        <v>144</v>
      </c>
      <c r="E14" s="2">
        <v>72</v>
      </c>
      <c r="F14">
        <v>7.2</v>
      </c>
    </row>
    <row r="15" spans="1:6">
      <c r="A15" t="s">
        <v>97</v>
      </c>
      <c r="B15" t="s">
        <v>112</v>
      </c>
      <c r="C15" s="2">
        <f>18200/7.2</f>
        <v>2527.7777777777778</v>
      </c>
      <c r="D15" s="2">
        <f>7200/85</f>
        <v>84.705882352941174</v>
      </c>
      <c r="E15" s="2">
        <v>69</v>
      </c>
      <c r="F15">
        <v>7.2</v>
      </c>
    </row>
    <row r="16" spans="1:6">
      <c r="A16" t="s">
        <v>97</v>
      </c>
      <c r="B16" t="s">
        <v>113</v>
      </c>
      <c r="C16" s="2">
        <f>18800/7.2</f>
        <v>2611.1111111111109</v>
      </c>
      <c r="D16" s="2">
        <f>7200/85</f>
        <v>84.705882352941174</v>
      </c>
      <c r="E16" s="2">
        <v>72</v>
      </c>
      <c r="F16">
        <v>7.2</v>
      </c>
    </row>
    <row r="17" spans="1:6">
      <c r="A17" t="s">
        <v>97</v>
      </c>
      <c r="B17" t="s">
        <v>114</v>
      </c>
      <c r="C17" s="2">
        <f>15500/8.4</f>
        <v>1845.2380952380952</v>
      </c>
      <c r="D17" s="2">
        <f>8400/70</f>
        <v>120</v>
      </c>
      <c r="E17" s="2">
        <v>75</v>
      </c>
      <c r="F17">
        <v>8.4</v>
      </c>
    </row>
    <row r="18" spans="1:6">
      <c r="A18" t="s">
        <v>97</v>
      </c>
      <c r="B18" t="s">
        <v>115</v>
      </c>
      <c r="C18" s="2">
        <f>16000/8.4</f>
        <v>1904.7619047619046</v>
      </c>
      <c r="D18" s="2">
        <f>8400/70</f>
        <v>120</v>
      </c>
      <c r="E18" s="2">
        <v>77</v>
      </c>
      <c r="F18">
        <v>8.4</v>
      </c>
    </row>
    <row r="19" spans="1:6">
      <c r="A19" t="s">
        <v>97</v>
      </c>
      <c r="B19" t="s">
        <v>116</v>
      </c>
      <c r="C19" s="2">
        <f>14500/9.6</f>
        <v>1510.4166666666667</v>
      </c>
      <c r="D19" s="2">
        <f>9600/58</f>
        <v>165.51724137931035</v>
      </c>
      <c r="E19" s="2">
        <v>75</v>
      </c>
      <c r="F19">
        <v>9.6</v>
      </c>
    </row>
    <row r="20" spans="1:6">
      <c r="A20" t="s">
        <v>97</v>
      </c>
      <c r="B20" t="s">
        <v>117</v>
      </c>
      <c r="C20" s="2">
        <f>14900/9.6</f>
        <v>1552.0833333333335</v>
      </c>
      <c r="D20" s="2">
        <f>9600/58</f>
        <v>165.51724137931035</v>
      </c>
      <c r="E20" s="2">
        <v>77</v>
      </c>
      <c r="F20">
        <v>9.6</v>
      </c>
    </row>
    <row r="21" spans="1:6">
      <c r="A21" t="s">
        <v>97</v>
      </c>
      <c r="B21" t="s">
        <v>118</v>
      </c>
      <c r="C21" s="2">
        <f>19665/9.6</f>
        <v>2048.4375</v>
      </c>
      <c r="D21" s="2">
        <f>9600/89</f>
        <v>107.86516853932584</v>
      </c>
      <c r="E21" s="2">
        <v>77</v>
      </c>
      <c r="F21">
        <v>9.6</v>
      </c>
    </row>
    <row r="22" spans="1:6">
      <c r="A22" t="s">
        <v>97</v>
      </c>
      <c r="B22" t="s">
        <v>119</v>
      </c>
      <c r="C22" s="2">
        <f>17960/9.6</f>
        <v>1870.8333333333335</v>
      </c>
      <c r="D22" s="2">
        <f>9600/64</f>
        <v>150</v>
      </c>
      <c r="E22" s="2">
        <v>77</v>
      </c>
      <c r="F22">
        <v>9.6</v>
      </c>
    </row>
    <row r="23" spans="1:6">
      <c r="A23" t="s">
        <v>97</v>
      </c>
      <c r="B23" t="s">
        <v>120</v>
      </c>
      <c r="C23" s="2">
        <f>17200/12</f>
        <v>1433.3333333333333</v>
      </c>
      <c r="D23" s="2">
        <f>12000/40</f>
        <v>300</v>
      </c>
      <c r="E23" s="2">
        <v>77</v>
      </c>
      <c r="F23">
        <v>12</v>
      </c>
    </row>
    <row r="24" spans="1:6">
      <c r="A24" t="s">
        <v>97</v>
      </c>
      <c r="B24" t="s">
        <v>121</v>
      </c>
      <c r="C24" s="2">
        <f>14500/14.4</f>
        <v>1006.9444444444445</v>
      </c>
      <c r="D24" s="2">
        <f>14400/33</f>
        <v>436.36363636363637</v>
      </c>
      <c r="E24" s="2">
        <v>74</v>
      </c>
      <c r="F24">
        <v>14.4</v>
      </c>
    </row>
    <row r="25" spans="1:6">
      <c r="A25" t="s">
        <v>97</v>
      </c>
      <c r="B25" t="s">
        <v>122</v>
      </c>
      <c r="C25" s="2">
        <f>14700/8.4</f>
        <v>1750</v>
      </c>
      <c r="D25" s="2">
        <v>112</v>
      </c>
      <c r="E25" s="2">
        <v>72</v>
      </c>
      <c r="F25">
        <v>8.4</v>
      </c>
    </row>
    <row r="26" spans="1:6">
      <c r="A26" t="s">
        <v>97</v>
      </c>
      <c r="B26" t="s">
        <v>123</v>
      </c>
      <c r="C26" s="2">
        <f>15000/9.6</f>
        <v>1562.5</v>
      </c>
      <c r="D26" s="2">
        <f>9600/65</f>
        <v>147.69230769230768</v>
      </c>
      <c r="E26" s="2">
        <v>75</v>
      </c>
      <c r="F26">
        <v>9.6</v>
      </c>
    </row>
    <row r="27" spans="1:6">
      <c r="A27" t="s">
        <v>97</v>
      </c>
      <c r="B27" t="s">
        <v>124</v>
      </c>
      <c r="C27" s="2">
        <f>13000/9.6</f>
        <v>1354.1666666666667</v>
      </c>
      <c r="D27" s="2">
        <f>9600/77</f>
        <v>124.67532467532467</v>
      </c>
      <c r="E27" s="2">
        <v>75</v>
      </c>
      <c r="F27">
        <v>9.6</v>
      </c>
    </row>
    <row r="28" spans="1:6">
      <c r="A28" t="s">
        <v>97</v>
      </c>
      <c r="B28" t="s">
        <v>125</v>
      </c>
      <c r="C28" s="2">
        <f>15750/9.6</f>
        <v>1640.625</v>
      </c>
      <c r="D28" s="2">
        <f>9600/117</f>
        <v>82.051282051282058</v>
      </c>
      <c r="E28" s="2">
        <v>77</v>
      </c>
      <c r="F28">
        <v>9.6</v>
      </c>
    </row>
    <row r="29" spans="1:6">
      <c r="A29" t="s">
        <v>97</v>
      </c>
      <c r="B29" t="s">
        <v>126</v>
      </c>
      <c r="C29" s="2">
        <f>11600/12</f>
        <v>966.66666666666663</v>
      </c>
      <c r="D29" s="2">
        <v>279.06976744186045</v>
      </c>
      <c r="E29" s="2">
        <v>75</v>
      </c>
      <c r="F29">
        <v>12</v>
      </c>
    </row>
    <row r="30" spans="1:6">
      <c r="A30" t="s">
        <v>97</v>
      </c>
      <c r="B30" t="s">
        <v>127</v>
      </c>
      <c r="C30" s="2">
        <f>25000/8.4</f>
        <v>2976.1904761904761</v>
      </c>
      <c r="D30" s="2">
        <f>8400/102</f>
        <v>82.352941176470594</v>
      </c>
      <c r="E30" s="2">
        <v>89</v>
      </c>
      <c r="F30">
        <v>8.4</v>
      </c>
    </row>
    <row r="31" spans="1:6">
      <c r="C31" s="2"/>
      <c r="D31" s="2"/>
      <c r="E31" s="2"/>
    </row>
    <row r="32" spans="1:6">
      <c r="A32" t="s">
        <v>128</v>
      </c>
      <c r="B32" t="s">
        <v>129</v>
      </c>
      <c r="C32" s="2">
        <v>740</v>
      </c>
      <c r="D32" s="2">
        <v>345</v>
      </c>
      <c r="E32" s="2">
        <v>70</v>
      </c>
    </row>
    <row r="33" spans="1:5">
      <c r="C33" s="2"/>
      <c r="D33" s="2"/>
      <c r="E33" s="2"/>
    </row>
    <row r="34" spans="1:5">
      <c r="A34" t="s">
        <v>132</v>
      </c>
      <c r="B34" t="s">
        <v>133</v>
      </c>
      <c r="C34" s="2">
        <v>830</v>
      </c>
      <c r="D34" s="2">
        <v>17</v>
      </c>
      <c r="E34" s="2">
        <v>84</v>
      </c>
    </row>
    <row r="35" spans="1:5">
      <c r="C35" s="2"/>
      <c r="D35" s="2"/>
      <c r="E35" s="2"/>
    </row>
    <row r="36" spans="1:5">
      <c r="C36" s="2"/>
      <c r="D36" s="2"/>
      <c r="E36" s="2"/>
    </row>
    <row r="37" spans="1:5">
      <c r="C37" s="2"/>
      <c r="D37" s="2"/>
      <c r="E37" s="2"/>
    </row>
    <row r="38" spans="1:5">
      <c r="C38" s="2"/>
      <c r="D38" s="2"/>
      <c r="E38" s="2"/>
    </row>
    <row r="39" spans="1:5">
      <c r="C39" s="2"/>
      <c r="D39" s="2"/>
      <c r="E39" s="2"/>
    </row>
    <row r="40" spans="1:5">
      <c r="C40" s="2"/>
      <c r="D40" s="2"/>
      <c r="E40" s="2"/>
    </row>
    <row r="41" spans="1:5">
      <c r="C41" s="2"/>
      <c r="D41" s="2"/>
      <c r="E41" s="2"/>
    </row>
    <row r="42" spans="1:5">
      <c r="C42" s="2"/>
      <c r="D42" s="2"/>
      <c r="E42" s="2"/>
    </row>
    <row r="43" spans="1:5">
      <c r="C43" s="2"/>
      <c r="D43" s="2"/>
      <c r="E43" s="2"/>
    </row>
    <row r="44" spans="1:5">
      <c r="C44" s="2"/>
      <c r="D44" s="2"/>
      <c r="E44" s="2"/>
    </row>
    <row r="45" spans="1:5">
      <c r="C45" s="2"/>
      <c r="D45" s="2"/>
      <c r="E45" s="2"/>
    </row>
    <row r="46" spans="1:5">
      <c r="C46" s="2"/>
      <c r="D46" s="2"/>
      <c r="E46" s="2"/>
    </row>
    <row r="47" spans="1:5">
      <c r="C47" s="2"/>
      <c r="D47" s="2"/>
      <c r="E47" s="2"/>
    </row>
    <row r="48" spans="1:5">
      <c r="C48" s="2"/>
      <c r="D48" s="2"/>
      <c r="E48" s="2"/>
    </row>
    <row r="49" spans="3:5">
      <c r="C49" s="2"/>
      <c r="D49" s="2"/>
      <c r="E49" s="2"/>
    </row>
    <row r="50" spans="3:5">
      <c r="C50" s="2"/>
      <c r="D50" s="2"/>
      <c r="E50" s="2"/>
    </row>
    <row r="51" spans="3:5">
      <c r="C51" s="2"/>
      <c r="D51" s="2"/>
      <c r="E51" s="2"/>
    </row>
    <row r="52" spans="3:5">
      <c r="C52" s="2"/>
      <c r="D52" s="2"/>
      <c r="E52" s="2"/>
    </row>
    <row r="53" spans="3:5">
      <c r="C53" s="2"/>
      <c r="D53" s="2"/>
      <c r="E53" s="2"/>
    </row>
    <row r="54" spans="3:5">
      <c r="C54" s="2"/>
      <c r="D54" s="2"/>
      <c r="E54" s="2"/>
    </row>
    <row r="55" spans="3:5">
      <c r="C55" s="2"/>
      <c r="D55" s="2"/>
      <c r="E55" s="2"/>
    </row>
    <row r="56" spans="3:5">
      <c r="C56" s="2"/>
      <c r="D56" s="2"/>
      <c r="E56" s="2"/>
    </row>
    <row r="57" spans="3:5">
      <c r="C57" s="2"/>
      <c r="D57" s="2"/>
      <c r="E57" s="2"/>
    </row>
    <row r="58" spans="3:5">
      <c r="C58" s="2"/>
      <c r="D58" s="2"/>
      <c r="E58" s="2"/>
    </row>
    <row r="59" spans="3:5">
      <c r="C59" s="2"/>
      <c r="D59" s="2"/>
      <c r="E59" s="2"/>
    </row>
    <row r="60" spans="3:5">
      <c r="C60" s="2"/>
      <c r="D60" s="2"/>
      <c r="E60" s="2"/>
    </row>
    <row r="61" spans="3:5">
      <c r="C61" s="2"/>
      <c r="D61" s="2"/>
      <c r="E61" s="2"/>
    </row>
    <row r="62" spans="3:5">
      <c r="C62" s="2"/>
      <c r="D62" s="2"/>
      <c r="E62" s="2"/>
    </row>
    <row r="63" spans="3:5">
      <c r="C63" s="2"/>
      <c r="D63" s="2"/>
      <c r="E63" s="2"/>
    </row>
    <row r="64" spans="3:5">
      <c r="C64" s="2"/>
      <c r="D64" s="2"/>
      <c r="E64" s="2"/>
    </row>
    <row r="65" spans="3:5">
      <c r="C65" s="2"/>
      <c r="D65" s="2"/>
      <c r="E65" s="2"/>
    </row>
    <row r="66" spans="3:5">
      <c r="C66" s="2"/>
      <c r="D66" s="2"/>
      <c r="E66" s="2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Berechnung</vt:lpstr>
      <vt:lpstr>Propeller</vt:lpstr>
      <vt:lpstr>Motoren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guenter</dc:creator>
  <cp:lastModifiedBy>Eugen Fritz</cp:lastModifiedBy>
  <dcterms:created xsi:type="dcterms:W3CDTF">2004-12-29T12:43:06Z</dcterms:created>
  <dcterms:modified xsi:type="dcterms:W3CDTF">2011-08-08T13:54:13Z</dcterms:modified>
</cp:coreProperties>
</file>